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ster_Index" sheetId="1" state="visible" r:id="rId1"/>
    <sheet xmlns:r="http://schemas.openxmlformats.org/officeDocument/2006/relationships" name="Sector_Weights" sheetId="2" state="visible" r:id="rId2"/>
    <sheet xmlns:r="http://schemas.openxmlformats.org/officeDocument/2006/relationships" name="Methodology" sheetId="3" state="visible" r:id="rId3"/>
    <sheet xmlns:r="http://schemas.openxmlformats.org/officeDocument/2006/relationships" name="Changelo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sz val="10"/>
    </font>
    <font>
      <b val="1"/>
      <color rgb="00FFFFFF"/>
      <sz val="11"/>
    </font>
    <font>
      <b val="1"/>
      <sz val="12"/>
    </font>
    <font>
      <b val="1"/>
    </font>
  </fonts>
  <fills count="4">
    <fill>
      <patternFill/>
    </fill>
    <fill>
      <patternFill patternType="gray125"/>
    </fill>
    <fill>
      <patternFill patternType="solid">
        <fgColor rgb="00366092"/>
        <bgColor rgb="00366092"/>
      </patternFill>
    </fill>
    <fill>
      <patternFill patternType="solid">
        <fgColor rgb="004472C4"/>
        <bgColor rgb="004472C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3" borderId="0" applyAlignment="1" pivotButton="0" quotePrefix="0" xfId="0">
      <alignment horizontal="center" vertical="center" wrapText="1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4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THE DEFLATION INDEX v3.0.3</t>
        </is>
      </c>
    </row>
    <row r="2">
      <c r="A2" s="2" t="inlineStr">
        <is>
          <t>Last Updated: 2026-01-17</t>
        </is>
      </c>
    </row>
    <row r="3">
      <c r="A3" t="inlineStr">
        <is>
          <t>Version: 3.0.3 - Verified weight references + launch preparation</t>
        </is>
      </c>
    </row>
    <row r="4">
      <c r="A4" t="inlineStr">
        <is>
          <t>All calculations reproducible and verifiable</t>
        </is>
      </c>
    </row>
    <row r="5"/>
    <row r="6"/>
    <row r="7">
      <c r="A7" s="3" t="inlineStr">
        <is>
          <t>Year</t>
        </is>
      </c>
      <c r="B7" s="3" t="inlineStr">
        <is>
          <t>Computing_Index</t>
        </is>
      </c>
      <c r="C7" s="3" t="inlineStr">
        <is>
          <t>Communications_Index</t>
        </is>
      </c>
      <c r="D7" s="3" t="inlineStr">
        <is>
          <t>Energy_Index</t>
        </is>
      </c>
      <c r="E7" s="3" t="inlineStr">
        <is>
          <t>Transportation_Index</t>
        </is>
      </c>
      <c r="F7" s="3" t="inlineStr">
        <is>
          <t>Master_DI</t>
        </is>
      </c>
      <c r="G7" s="3" t="inlineStr">
        <is>
          <t>Annual_Deflation_%</t>
        </is>
      </c>
      <c r="H7" s="3" t="inlineStr">
        <is>
          <t>M2_Growth_%</t>
        </is>
      </c>
      <c r="I7" s="3" t="inlineStr">
        <is>
          <t>CPI_Inflation_%</t>
        </is>
      </c>
      <c r="J7" s="3" t="inlineStr">
        <is>
          <t>Tech_vs_Monetary_Gap</t>
        </is>
      </c>
      <c r="K7" s="3" t="inlineStr">
        <is>
          <t>Tech_vs_CPI_Gap</t>
        </is>
      </c>
      <c r="L7" s="3" t="inlineStr">
        <is>
          <t>Capture_Rate_%</t>
        </is>
      </c>
    </row>
    <row r="8">
      <c r="A8" t="n">
        <v>1990</v>
      </c>
      <c r="B8" t="n">
        <v>100</v>
      </c>
      <c r="C8" t="n">
        <v>100</v>
      </c>
      <c r="D8" t="n">
        <v>100</v>
      </c>
      <c r="E8" t="n">
        <v>100</v>
      </c>
      <c r="F8" t="n">
        <v>100</v>
      </c>
    </row>
    <row r="9">
      <c r="A9" t="n">
        <v>1991</v>
      </c>
      <c r="B9" t="n">
        <v>68.50948809</v>
      </c>
      <c r="C9" t="n">
        <v>66.63216011</v>
      </c>
      <c r="D9" t="n">
        <v>91.74229275</v>
      </c>
      <c r="E9" t="n">
        <v>100</v>
      </c>
      <c r="F9">
        <f>B9*Sector_Weights!$B$4+C9*Sector_Weights!$B$5+D9*Sector_Weights!$B$6+E9*Sector_Weights!$B$7</f>
        <v/>
      </c>
      <c r="G9">
        <f>(F9/F8)-1</f>
        <v/>
      </c>
      <c r="H9">
        <f>(3379.8/3277.4)-1</f>
        <v/>
      </c>
      <c r="I9">
        <f>(136.2/130.7)-1</f>
        <v/>
      </c>
      <c r="J9">
        <f>G9-H9</f>
        <v/>
      </c>
      <c r="K9">
        <f>G9-I9</f>
        <v/>
      </c>
      <c r="L9">
        <f>I9/(ABS(G9)+I9)</f>
        <v/>
      </c>
    </row>
    <row r="10">
      <c r="A10" t="n">
        <v>1992</v>
      </c>
      <c r="B10" t="n">
        <v>47.51709645</v>
      </c>
      <c r="C10" t="n">
        <v>47.30696451</v>
      </c>
      <c r="D10" t="n">
        <v>84.24832139</v>
      </c>
      <c r="E10" t="n">
        <v>100</v>
      </c>
      <c r="F10">
        <f>B10*Sector_Weights!$B$4+C10*Sector_Weights!$B$5+D10*Sector_Weights!$B$6+E10*Sector_Weights!$B$7</f>
        <v/>
      </c>
      <c r="G10">
        <f>(F10/F9)-1</f>
        <v/>
      </c>
      <c r="H10">
        <f>(3431.4/3379.8)-1</f>
        <v/>
      </c>
      <c r="I10">
        <f>(140.3/136.2)-1</f>
        <v/>
      </c>
      <c r="J10">
        <f>G10-H10</f>
        <v/>
      </c>
      <c r="K10">
        <f>G10-I10</f>
        <v/>
      </c>
      <c r="L10">
        <f>I10/(ABS(G10)+I10)</f>
        <v/>
      </c>
    </row>
    <row r="11">
      <c r="A11" t="n">
        <v>1993</v>
      </c>
      <c r="B11" t="n">
        <v>33.4268661</v>
      </c>
      <c r="C11" t="n">
        <v>35.85465778</v>
      </c>
      <c r="D11" t="n">
        <v>77.44690826999999</v>
      </c>
      <c r="E11" t="n">
        <v>100</v>
      </c>
      <c r="F11">
        <f>B11*Sector_Weights!$B$4+C11*Sector_Weights!$B$5+D11*Sector_Weights!$B$6+E11*Sector_Weights!$B$7</f>
        <v/>
      </c>
      <c r="G11">
        <f>(F11/F10)-1</f>
        <v/>
      </c>
      <c r="H11">
        <f>(3486.3/3431.4)-1</f>
        <v/>
      </c>
      <c r="I11">
        <f>(144.5/140.3)-1</f>
        <v/>
      </c>
      <c r="J11">
        <f>G11-H11</f>
        <v/>
      </c>
      <c r="K11">
        <f>G11-I11</f>
        <v/>
      </c>
      <c r="L11">
        <f>I11/(ABS(G11)+I11)</f>
        <v/>
      </c>
    </row>
    <row r="12">
      <c r="A12" t="n">
        <v>1994</v>
      </c>
      <c r="B12" t="n">
        <v>23.81001783</v>
      </c>
      <c r="C12" t="n">
        <v>28.83977278</v>
      </c>
      <c r="D12" t="n">
        <v>71.27355715</v>
      </c>
      <c r="E12" t="n">
        <v>100</v>
      </c>
      <c r="F12">
        <f>B12*Sector_Weights!$B$4+C12*Sector_Weights!$B$5+D12*Sector_Weights!$B$6+E12*Sector_Weights!$B$7</f>
        <v/>
      </c>
      <c r="G12">
        <f>(F12/F11)-1</f>
        <v/>
      </c>
      <c r="H12">
        <f>(3500.2/3486.3)-1</f>
        <v/>
      </c>
      <c r="I12">
        <f>(148.2/144.5)-1</f>
        <v/>
      </c>
      <c r="J12">
        <f>G12-H12</f>
        <v/>
      </c>
      <c r="K12">
        <f>G12-I12</f>
        <v/>
      </c>
      <c r="L12">
        <f>I12/(ABS(G12)+I12)</f>
        <v/>
      </c>
    </row>
    <row r="13">
      <c r="A13" t="n">
        <v>1995</v>
      </c>
      <c r="B13" t="n">
        <v>17.21547433</v>
      </c>
      <c r="C13" t="n">
        <v>31.63058612</v>
      </c>
      <c r="D13" t="n">
        <v>65.66982185000001</v>
      </c>
      <c r="E13" t="n">
        <v>100</v>
      </c>
      <c r="F13">
        <f>B13*Sector_Weights!$B$4+C13*Sector_Weights!$B$5+D13*Sector_Weights!$B$6+E13*Sector_Weights!$B$7</f>
        <v/>
      </c>
      <c r="G13">
        <f>(F13/F12)-1</f>
        <v/>
      </c>
      <c r="H13">
        <f>(3642.1/3500.2)-1</f>
        <v/>
      </c>
      <c r="I13">
        <f>(152.4/148.2)-1</f>
        <v/>
      </c>
      <c r="J13">
        <f>G13-H13</f>
        <v/>
      </c>
      <c r="K13">
        <f>G13-I13</f>
        <v/>
      </c>
      <c r="L13">
        <f>I13/(ABS(G13)+I13)</f>
        <v/>
      </c>
    </row>
    <row r="14">
      <c r="A14" t="n">
        <v>1996</v>
      </c>
      <c r="B14" t="n">
        <v>12.63448938</v>
      </c>
      <c r="C14" t="n">
        <v>27.03217995</v>
      </c>
      <c r="D14" t="n">
        <v>60.58273488</v>
      </c>
      <c r="E14" t="n">
        <v>100</v>
      </c>
      <c r="F14">
        <f>B14*Sector_Weights!$B$4+C14*Sector_Weights!$B$5+D14*Sector_Weights!$B$6+E14*Sector_Weights!$B$7</f>
        <v/>
      </c>
      <c r="G14">
        <f>(F14/F13)-1</f>
        <v/>
      </c>
      <c r="H14">
        <f>(3820.9/3642.1)-1</f>
        <v/>
      </c>
      <c r="I14">
        <f>(156.9/152.4)-1</f>
        <v/>
      </c>
      <c r="J14">
        <f>G14-H14</f>
        <v/>
      </c>
      <c r="K14">
        <f>G14-I14</f>
        <v/>
      </c>
      <c r="L14">
        <f>I14/(ABS(G14)+I14)</f>
        <v/>
      </c>
    </row>
    <row r="15">
      <c r="A15" t="n">
        <v>1997</v>
      </c>
      <c r="B15" t="n">
        <v>9.368268860000001</v>
      </c>
      <c r="C15" t="n">
        <v>23.50985708</v>
      </c>
      <c r="D15" t="n">
        <v>55.96429034</v>
      </c>
      <c r="E15" t="n">
        <v>100</v>
      </c>
      <c r="F15">
        <f>B15*Sector_Weights!$B$4+C15*Sector_Weights!$B$5+D15*Sector_Weights!$B$6+E15*Sector_Weights!$B$7</f>
        <v/>
      </c>
      <c r="G15">
        <f>(F15/F14)-1</f>
        <v/>
      </c>
      <c r="H15">
        <f>(4034.7/3820.9)-1</f>
        <v/>
      </c>
      <c r="I15">
        <f>(160.5/156.9)-1</f>
        <v/>
      </c>
      <c r="J15">
        <f>G15-H15</f>
        <v/>
      </c>
      <c r="K15">
        <f>G15-I15</f>
        <v/>
      </c>
      <c r="L15">
        <f>I15/(ABS(G15)+I15)</f>
        <v/>
      </c>
    </row>
    <row r="16">
      <c r="A16" t="n">
        <v>1998</v>
      </c>
      <c r="B16" t="n">
        <v>7.09603125</v>
      </c>
      <c r="C16" t="n">
        <v>20.74023948</v>
      </c>
      <c r="D16" t="n">
        <v>51.770976</v>
      </c>
      <c r="E16" t="n">
        <v>100</v>
      </c>
      <c r="F16">
        <f>B16*Sector_Weights!$B$4+C16*Sector_Weights!$B$5+D16*Sector_Weights!$B$6+E16*Sector_Weights!$B$7</f>
        <v/>
      </c>
      <c r="G16">
        <f>(F16/F15)-1</f>
        <v/>
      </c>
      <c r="H16">
        <f>(4381.6/4034.7)-1</f>
        <v/>
      </c>
      <c r="I16">
        <f>(163.0/160.5)-1</f>
        <v/>
      </c>
      <c r="J16">
        <f>G16-H16</f>
        <v/>
      </c>
      <c r="K16">
        <f>G16-I16</f>
        <v/>
      </c>
      <c r="L16">
        <f>I16/(ABS(G16)+I16)</f>
        <v/>
      </c>
    </row>
    <row r="17">
      <c r="A17" t="n">
        <v>1999</v>
      </c>
      <c r="B17" t="n">
        <v>5.41354246</v>
      </c>
      <c r="C17" t="n">
        <v>18.50499075</v>
      </c>
      <c r="D17" t="n">
        <v>47.96334975</v>
      </c>
      <c r="E17" t="n">
        <v>100</v>
      </c>
      <c r="F17">
        <f>B17*Sector_Weights!$B$4+C17*Sector_Weights!$B$5+D17*Sector_Weights!$B$6+E17*Sector_Weights!$B$7</f>
        <v/>
      </c>
      <c r="G17">
        <f>(F17/F16)-1</f>
        <v/>
      </c>
      <c r="H17">
        <f>(4640.3/4381.6)-1</f>
        <v/>
      </c>
      <c r="I17">
        <f>(166.6/163.0)-1</f>
        <v/>
      </c>
      <c r="J17">
        <f>G17-H17</f>
        <v/>
      </c>
      <c r="K17">
        <f>G17-I17</f>
        <v/>
      </c>
      <c r="L17">
        <f>I17/(ABS(G17)+I17)</f>
        <v/>
      </c>
    </row>
    <row r="18">
      <c r="A18" t="n">
        <v>2000</v>
      </c>
      <c r="B18" t="n">
        <v>4.18123312</v>
      </c>
      <c r="C18" t="n">
        <v>16.65601826</v>
      </c>
      <c r="D18" t="n">
        <v>68.11965621</v>
      </c>
      <c r="E18" t="n">
        <v>100</v>
      </c>
      <c r="F18">
        <f>B18*Sector_Weights!$B$4+C18*Sector_Weights!$B$5+D18*Sector_Weights!$B$6+E18*Sector_Weights!$B$7</f>
        <v/>
      </c>
      <c r="G18">
        <f>(F18/F17)-1</f>
        <v/>
      </c>
      <c r="H18">
        <f>(4921.0/4640.3)-1</f>
        <v/>
      </c>
      <c r="I18">
        <f>(172.2/166.6)-1</f>
        <v/>
      </c>
      <c r="J18">
        <f>G18-H18</f>
        <v/>
      </c>
      <c r="K18">
        <f>G18-I18</f>
        <v/>
      </c>
      <c r="L18">
        <f>I18/(ABS(G18)+I18)</f>
        <v/>
      </c>
    </row>
    <row r="19">
      <c r="A19" t="n">
        <v>2001</v>
      </c>
      <c r="B19" t="n">
        <v>3.24991971</v>
      </c>
      <c r="C19" t="n">
        <v>15.06598386</v>
      </c>
      <c r="D19" t="n">
        <v>55.37547973</v>
      </c>
      <c r="E19" t="n">
        <v>100</v>
      </c>
      <c r="F19">
        <f>B19*Sector_Weights!$B$4+C19*Sector_Weights!$B$5+D19*Sector_Weights!$B$6+E19*Sector_Weights!$B$7</f>
        <v/>
      </c>
      <c r="G19">
        <f>(F19/F18)-1</f>
        <v/>
      </c>
      <c r="H19">
        <f>(5420.3/4921.0)-1</f>
        <v/>
      </c>
      <c r="I19">
        <f>(177.1/172.2)-1</f>
        <v/>
      </c>
      <c r="J19">
        <f>G19-H19</f>
        <v/>
      </c>
      <c r="K19">
        <f>G19-I19</f>
        <v/>
      </c>
      <c r="L19">
        <f>I19/(ABS(G19)+I19)</f>
        <v/>
      </c>
    </row>
    <row r="20">
      <c r="A20" t="n">
        <v>2002</v>
      </c>
      <c r="B20" t="n">
        <v>2.55222894</v>
      </c>
      <c r="C20" t="n">
        <v>13.79862885</v>
      </c>
      <c r="D20" t="n">
        <v>45.66343018</v>
      </c>
      <c r="E20" t="n">
        <v>100</v>
      </c>
      <c r="F20">
        <f>B20*Sector_Weights!$B$4+C20*Sector_Weights!$B$5+D20*Sector_Weights!$B$6+E20*Sector_Weights!$B$7</f>
        <v/>
      </c>
      <c r="G20">
        <f>(F20/F19)-1</f>
        <v/>
      </c>
      <c r="H20">
        <f>(5747.6/5420.3)-1</f>
        <v/>
      </c>
      <c r="I20">
        <f>(179.9/177.1)-1</f>
        <v/>
      </c>
      <c r="J20">
        <f>G20-H20</f>
        <v/>
      </c>
      <c r="K20">
        <f>G20-I20</f>
        <v/>
      </c>
      <c r="L20">
        <f>I20/(ABS(G20)+I20)</f>
        <v/>
      </c>
    </row>
    <row r="21">
      <c r="A21" t="n">
        <v>2003</v>
      </c>
      <c r="B21" t="n">
        <v>2.02006669</v>
      </c>
      <c r="C21" t="n">
        <v>12.66775468</v>
      </c>
      <c r="D21" t="n">
        <v>38.17285865</v>
      </c>
      <c r="E21" t="n">
        <v>100</v>
      </c>
      <c r="F21">
        <f>B21*Sector_Weights!$B$4+C21*Sector_Weights!$B$5+D21*Sector_Weights!$B$6+E21*Sector_Weights!$B$7</f>
        <v/>
      </c>
      <c r="G21">
        <f>(F21/F20)-1</f>
        <v/>
      </c>
      <c r="H21">
        <f>(6072.7/5747.6)-1</f>
        <v/>
      </c>
      <c r="I21">
        <f>(184.0/179.9)-1</f>
        <v/>
      </c>
      <c r="J21">
        <f>G21-H21</f>
        <v/>
      </c>
      <c r="K21">
        <f>G21-I21</f>
        <v/>
      </c>
      <c r="L21">
        <f>I21/(ABS(G21)+I21)</f>
        <v/>
      </c>
    </row>
    <row r="22">
      <c r="A22" t="n">
        <v>2004</v>
      </c>
      <c r="B22" t="n">
        <v>1.6361059</v>
      </c>
      <c r="C22" t="n">
        <v>11.48716285</v>
      </c>
      <c r="D22" t="n">
        <v>32.31959984</v>
      </c>
      <c r="E22" t="n">
        <v>100</v>
      </c>
      <c r="F22">
        <f>B22*Sector_Weights!$B$4+C22*Sector_Weights!$B$5+D22*Sector_Weights!$B$6+E22*Sector_Weights!$B$7</f>
        <v/>
      </c>
      <c r="G22">
        <f>(F22/F21)-1</f>
        <v/>
      </c>
      <c r="H22">
        <f>(6400.7/6072.7)-1</f>
        <v/>
      </c>
      <c r="I22">
        <f>(188.9/184.0)-1</f>
        <v/>
      </c>
      <c r="J22">
        <f>G22-H22</f>
        <v/>
      </c>
      <c r="K22">
        <f>G22-I22</f>
        <v/>
      </c>
      <c r="L22">
        <f>I22/(ABS(G22)+I22)</f>
        <v/>
      </c>
    </row>
    <row r="23">
      <c r="A23" t="n">
        <v>2005</v>
      </c>
      <c r="B23" t="n">
        <v>1.32985564</v>
      </c>
      <c r="C23" t="n">
        <v>10.39333419</v>
      </c>
      <c r="D23" t="n">
        <v>49.90830149</v>
      </c>
      <c r="E23" t="n">
        <v>100</v>
      </c>
      <c r="F23">
        <f>B23*Sector_Weights!$B$4+C23*Sector_Weights!$B$5+D23*Sector_Weights!$B$6+E23*Sector_Weights!$B$7</f>
        <v/>
      </c>
      <c r="G23">
        <f>(F23/F22)-1</f>
        <v/>
      </c>
      <c r="H23">
        <f>(6659.7/6400.7)-1</f>
        <v/>
      </c>
      <c r="I23">
        <f>(195.3/188.9)-1</f>
        <v/>
      </c>
      <c r="J23">
        <f>G23-H23</f>
        <v/>
      </c>
      <c r="K23">
        <f>G23-I23</f>
        <v/>
      </c>
      <c r="L23">
        <f>I23/(ABS(G23)+I23)</f>
        <v/>
      </c>
    </row>
    <row r="24">
      <c r="A24" t="n">
        <v>2006</v>
      </c>
      <c r="B24" t="n">
        <v>1.07448847</v>
      </c>
      <c r="C24" t="n">
        <v>9.349223200000001</v>
      </c>
      <c r="D24" t="n">
        <v>38.47377572</v>
      </c>
      <c r="E24" t="n">
        <v>100</v>
      </c>
      <c r="F24">
        <f>B24*Sector_Weights!$B$4+C24*Sector_Weights!$B$5+D24*Sector_Weights!$B$6+E24*Sector_Weights!$B$7</f>
        <v/>
      </c>
      <c r="G24">
        <f>(F24/F23)-1</f>
        <v/>
      </c>
      <c r="H24">
        <f>(7027.0/6659.7)-1</f>
        <v/>
      </c>
      <c r="I24">
        <f>(201.6/195.3)-1</f>
        <v/>
      </c>
      <c r="J24">
        <f>G24-H24</f>
        <v/>
      </c>
      <c r="K24">
        <f>G24-I24</f>
        <v/>
      </c>
      <c r="L24">
        <f>I24/(ABS(G24)+I24)</f>
        <v/>
      </c>
    </row>
    <row r="25">
      <c r="A25" t="n">
        <v>2007</v>
      </c>
      <c r="B25" t="n">
        <v>0.88528046</v>
      </c>
      <c r="C25" t="n">
        <v>8.30511222</v>
      </c>
      <c r="D25" t="n">
        <v>30.38080789</v>
      </c>
      <c r="E25" t="n">
        <v>100</v>
      </c>
      <c r="F25">
        <f>B25*Sector_Weights!$B$4+C25*Sector_Weights!$B$5+D25*Sector_Weights!$B$6+E25*Sector_Weights!$B$7</f>
        <v/>
      </c>
      <c r="G25">
        <f>(F25/F24)-1</f>
        <v/>
      </c>
      <c r="H25">
        <f>(7447.0/7027.0)-1</f>
        <v/>
      </c>
      <c r="I25">
        <f>(207.3/201.6)-1</f>
        <v/>
      </c>
      <c r="J25">
        <f>G25-H25</f>
        <v/>
      </c>
      <c r="K25">
        <f>G25-I25</f>
        <v/>
      </c>
      <c r="L25">
        <f>I25/(ABS(G25)+I25)</f>
        <v/>
      </c>
    </row>
    <row r="26">
      <c r="A26" t="n">
        <v>2008</v>
      </c>
      <c r="B26" t="n">
        <v>0.7400968999999999</v>
      </c>
      <c r="C26" t="n">
        <v>7.29804673</v>
      </c>
      <c r="D26" t="n">
        <v>24.55835845</v>
      </c>
      <c r="E26" t="n">
        <v>100</v>
      </c>
      <c r="F26">
        <f>B26*Sector_Weights!$B$4+C26*Sector_Weights!$B$5+D26*Sector_Weights!$B$6+E26*Sector_Weights!$B$7</f>
        <v/>
      </c>
      <c r="G26">
        <f>(F26/F25)-1</f>
        <v/>
      </c>
      <c r="H26">
        <f>(8166.3/7447.0)-1</f>
        <v/>
      </c>
      <c r="I26">
        <f>(215.3/207.3)-1</f>
        <v/>
      </c>
      <c r="J26">
        <f>G26-H26</f>
        <v/>
      </c>
      <c r="K26">
        <f>G26-I26</f>
        <v/>
      </c>
      <c r="L26">
        <f>I26/(ABS(G26)+I26)</f>
        <v/>
      </c>
    </row>
    <row r="27">
      <c r="A27" t="n">
        <v>2009</v>
      </c>
      <c r="B27" t="n">
        <v>0.75085838</v>
      </c>
      <c r="C27" t="n">
        <v>6.29098125</v>
      </c>
      <c r="D27" t="n">
        <v>20.28846864</v>
      </c>
      <c r="E27" t="n">
        <v>100</v>
      </c>
      <c r="F27">
        <f>B27*Sector_Weights!$B$4+C27*Sector_Weights!$B$5+D27*Sector_Weights!$B$6+E27*Sector_Weights!$B$7</f>
        <v/>
      </c>
      <c r="G27">
        <f>(F27/F26)-1</f>
        <v/>
      </c>
      <c r="H27">
        <f>(8505.4/8166.3)-1</f>
        <v/>
      </c>
      <c r="I27">
        <f>(214.5/215.3)-1</f>
        <v/>
      </c>
      <c r="J27">
        <f>G27-H27</f>
        <v/>
      </c>
      <c r="K27">
        <f>G27-I27</f>
        <v/>
      </c>
      <c r="L27">
        <f>I27/(ABS(G27)+I27)</f>
        <v/>
      </c>
    </row>
    <row r="28">
      <c r="A28" t="n">
        <v>2010</v>
      </c>
      <c r="B28" t="n">
        <v>0.5554656100000001</v>
      </c>
      <c r="C28" t="n">
        <v>5.28391577</v>
      </c>
      <c r="D28" t="n">
        <v>17.08893095</v>
      </c>
      <c r="E28" t="n">
        <v>100</v>
      </c>
      <c r="F28">
        <f>B28*Sector_Weights!$B$4+C28*Sector_Weights!$B$5+D28*Sector_Weights!$B$6+E28*Sector_Weights!$B$7</f>
        <v/>
      </c>
      <c r="G28">
        <f>(F28/F27)-1</f>
        <v/>
      </c>
      <c r="H28">
        <f>(8853.0/8505.4)-1</f>
        <v/>
      </c>
      <c r="I28">
        <f>(218.1/214.5)-1</f>
        <v/>
      </c>
      <c r="J28">
        <f>G28-H28</f>
        <v/>
      </c>
      <c r="K28">
        <f>G28-I28</f>
        <v/>
      </c>
      <c r="L28">
        <f>I28/(ABS(G28)+I28)</f>
        <v/>
      </c>
    </row>
    <row r="29">
      <c r="A29" t="n">
        <v>2011</v>
      </c>
      <c r="B29" t="n">
        <v>0.45538944</v>
      </c>
      <c r="C29" t="n">
        <v>4.78038303</v>
      </c>
      <c r="D29" t="n">
        <v>12.95949081</v>
      </c>
      <c r="E29" t="n">
        <v>79.83579639</v>
      </c>
      <c r="F29">
        <f>B29*Sector_Weights!$B$4+C29*Sector_Weights!$B$5+D29*Sector_Weights!$B$6+E29*Sector_Weights!$B$7</f>
        <v/>
      </c>
      <c r="G29">
        <f>(F29/F28)-1</f>
        <v/>
      </c>
      <c r="H29">
        <f>(9641.2/8853.0)-1</f>
        <v/>
      </c>
      <c r="I29">
        <f>(224.9/218.1)-1</f>
        <v/>
      </c>
      <c r="J29">
        <f>G29-H29</f>
        <v/>
      </c>
      <c r="K29">
        <f>G29-I29</f>
        <v/>
      </c>
      <c r="L29">
        <f>I29/(ABS(G29)+I29)</f>
        <v/>
      </c>
    </row>
    <row r="30">
      <c r="A30" t="n">
        <v>2012</v>
      </c>
      <c r="B30" t="n">
        <v>0.39536695</v>
      </c>
      <c r="C30" t="n">
        <v>4.27685029</v>
      </c>
      <c r="D30" t="n">
        <v>10.28360288</v>
      </c>
      <c r="E30" t="n">
        <v>64.58128078999999</v>
      </c>
      <c r="F30">
        <f>B30*Sector_Weights!$B$4+C30*Sector_Weights!$B$5+D30*Sector_Weights!$B$6+E30*Sector_Weights!$B$7</f>
        <v/>
      </c>
      <c r="G30">
        <f>(F30/F29)-1</f>
        <v/>
      </c>
      <c r="H30">
        <f>(10424.7/9641.2)-1</f>
        <v/>
      </c>
      <c r="I30">
        <f>(229.6/224.9)-1</f>
        <v/>
      </c>
      <c r="J30">
        <f>G30-H30</f>
        <v/>
      </c>
      <c r="K30">
        <f>G30-I30</f>
        <v/>
      </c>
      <c r="L30">
        <f>I30/(ABS(G30)+I30)</f>
        <v/>
      </c>
    </row>
    <row r="31">
      <c r="A31" t="n">
        <v>2013</v>
      </c>
      <c r="B31" t="n">
        <v>0.34747014</v>
      </c>
      <c r="C31" t="n">
        <v>3.7770221</v>
      </c>
      <c r="D31" t="n">
        <v>7.97689485</v>
      </c>
      <c r="E31" t="n">
        <v>56.71592775</v>
      </c>
      <c r="F31">
        <f>B31*Sector_Weights!$B$4+C31*Sector_Weights!$B$5+D31*Sector_Weights!$B$6+E31*Sector_Weights!$B$7</f>
        <v/>
      </c>
      <c r="G31">
        <f>(F31/F30)-1</f>
        <v/>
      </c>
      <c r="H31">
        <f>(10985.0/10424.7)-1</f>
        <v/>
      </c>
      <c r="I31">
        <f>(233.0/229.6)-1</f>
        <v/>
      </c>
      <c r="J31">
        <f>G31-H31</f>
        <v/>
      </c>
      <c r="K31">
        <f>G31-I31</f>
        <v/>
      </c>
      <c r="L31">
        <f>I31/(ABS(G31)+I31)</f>
        <v/>
      </c>
    </row>
    <row r="32">
      <c r="A32" t="n">
        <v>2014</v>
      </c>
      <c r="B32" t="n">
        <v>0.32533813</v>
      </c>
      <c r="C32" t="n">
        <v>3.27719391</v>
      </c>
      <c r="D32" t="n">
        <v>6.08519985</v>
      </c>
      <c r="E32" t="n">
        <v>42.20032841</v>
      </c>
      <c r="F32">
        <f>B32*Sector_Weights!$B$4+C32*Sector_Weights!$B$5+D32*Sector_Weights!$B$6+E32*Sector_Weights!$B$7</f>
        <v/>
      </c>
      <c r="G32">
        <f>(F32/F31)-1</f>
        <v/>
      </c>
      <c r="H32">
        <f>(11692.5/10985.0)-1</f>
        <v/>
      </c>
      <c r="I32">
        <f>(236.7/233.0)-1</f>
        <v/>
      </c>
      <c r="J32">
        <f>G32-H32</f>
        <v/>
      </c>
      <c r="K32">
        <f>G32-I32</f>
        <v/>
      </c>
      <c r="L32">
        <f>I32/(ABS(G32)+I32)</f>
        <v/>
      </c>
    </row>
    <row r="33">
      <c r="A33" t="n">
        <v>2015</v>
      </c>
      <c r="B33" t="n">
        <v>0.28564544</v>
      </c>
      <c r="C33" t="n">
        <v>2.78107027</v>
      </c>
      <c r="D33" t="n">
        <v>4.78008163</v>
      </c>
      <c r="E33" t="n">
        <v>37.29064039</v>
      </c>
      <c r="F33">
        <f>B33*Sector_Weights!$B$4+C33*Sector_Weights!$B$5+D33*Sector_Weights!$B$6+E33*Sector_Weights!$B$7</f>
        <v/>
      </c>
      <c r="G33">
        <f>(F33/F32)-1</f>
        <v/>
      </c>
      <c r="H33">
        <f>(12334.6/11692.5)-1</f>
        <v/>
      </c>
      <c r="I33">
        <f>(237.0/236.7)-1</f>
        <v/>
      </c>
      <c r="J33">
        <f>G33-H33</f>
        <v/>
      </c>
      <c r="K33">
        <f>G33-I33</f>
        <v/>
      </c>
      <c r="L33">
        <f>I33/(ABS(G33)+I33)</f>
        <v/>
      </c>
    </row>
    <row r="34">
      <c r="A34" t="n">
        <v>2016</v>
      </c>
      <c r="B34" t="n">
        <v>0.24609714</v>
      </c>
      <c r="C34" t="n">
        <v>2.28494663</v>
      </c>
      <c r="D34" t="n">
        <v>4.02350366</v>
      </c>
      <c r="E34" t="n">
        <v>31.12479475</v>
      </c>
      <c r="F34">
        <f>B34*Sector_Weights!$B$4+C34*Sector_Weights!$B$5+D34*Sector_Weights!$B$6+E34*Sector_Weights!$B$7</f>
        <v/>
      </c>
      <c r="G34">
        <f>(F34/F33)-1</f>
        <v/>
      </c>
      <c r="H34">
        <f>(13178.7/12334.6)-1</f>
        <v/>
      </c>
      <c r="I34">
        <f>(240.0/237.0)-1</f>
        <v/>
      </c>
      <c r="J34">
        <f>G34-H34</f>
        <v/>
      </c>
      <c r="K34">
        <f>G34-I34</f>
        <v/>
      </c>
      <c r="L34">
        <f>I34/(ABS(G34)+I34)</f>
        <v/>
      </c>
    </row>
    <row r="35">
      <c r="A35" t="n">
        <v>2017</v>
      </c>
      <c r="B35" t="n">
        <v>0.21648298</v>
      </c>
      <c r="C35" t="n">
        <v>2.07856177</v>
      </c>
      <c r="D35" t="n">
        <v>3.17044032</v>
      </c>
      <c r="E35" t="n">
        <v>25.8456486</v>
      </c>
      <c r="F35">
        <f>B35*Sector_Weights!$B$4+C35*Sector_Weights!$B$5+D35*Sector_Weights!$B$6+E35*Sector_Weights!$B$7</f>
        <v/>
      </c>
      <c r="G35">
        <f>(F35/F34)-1</f>
        <v/>
      </c>
      <c r="H35">
        <f>(13831.5/13178.7)-1</f>
        <v/>
      </c>
      <c r="I35">
        <f>(245.1/240.0)-1</f>
        <v/>
      </c>
      <c r="J35">
        <f>G35-H35</f>
        <v/>
      </c>
      <c r="K35">
        <f>G35-I35</f>
        <v/>
      </c>
      <c r="L35">
        <f>I35/(ABS(G35)+I35)</f>
        <v/>
      </c>
    </row>
    <row r="36">
      <c r="A36" t="n">
        <v>2018</v>
      </c>
      <c r="B36" t="n">
        <v>0.1947697</v>
      </c>
      <c r="C36" t="n">
        <v>1.78511844</v>
      </c>
      <c r="D36" t="n">
        <v>2.66495204</v>
      </c>
      <c r="E36" t="n">
        <v>23.00492611</v>
      </c>
      <c r="F36">
        <f>B36*Sector_Weights!$B$4+C36*Sector_Weights!$B$5+D36*Sector_Weights!$B$6+E36*Sector_Weights!$B$7</f>
        <v/>
      </c>
      <c r="G36">
        <f>(F36/F35)-1</f>
        <v/>
      </c>
      <c r="H36">
        <f>(14269.6/13831.5)-1</f>
        <v/>
      </c>
      <c r="I36">
        <f>(251.1/245.1)-1</f>
        <v/>
      </c>
      <c r="J36">
        <f>G36-H36</f>
        <v/>
      </c>
      <c r="K36">
        <f>G36-I36</f>
        <v/>
      </c>
      <c r="L36">
        <f>I36/(ABS(G36)+I36)</f>
        <v/>
      </c>
    </row>
    <row r="37">
      <c r="A37" t="n">
        <v>2019</v>
      </c>
      <c r="B37" t="n">
        <v>0.18096609</v>
      </c>
      <c r="C37" t="n">
        <v>1.49167512</v>
      </c>
      <c r="D37" t="n">
        <v>2.20048403</v>
      </c>
      <c r="E37" t="n">
        <v>21.05090312</v>
      </c>
      <c r="F37">
        <f>B37*Sector_Weights!$B$4+C37*Sector_Weights!$B$5+D37*Sector_Weights!$B$6+E37*Sector_Weights!$B$7</f>
        <v/>
      </c>
      <c r="G37">
        <f>(F37/F36)-1</f>
        <v/>
      </c>
      <c r="H37">
        <f>(15328.5/14269.6)-1</f>
        <v/>
      </c>
      <c r="I37">
        <f>(255.7/251.1)-1</f>
        <v/>
      </c>
      <c r="J37">
        <f>G37-H37</f>
        <v/>
      </c>
      <c r="K37">
        <f>G37-I37</f>
        <v/>
      </c>
      <c r="L37">
        <f>I37/(ABS(G37)+I37)</f>
        <v/>
      </c>
    </row>
    <row r="38">
      <c r="A38" t="n">
        <v>2020</v>
      </c>
      <c r="B38" t="n">
        <v>0.1691493</v>
      </c>
      <c r="C38" t="n">
        <v>1.28529025</v>
      </c>
      <c r="D38" t="n">
        <v>1.94569189</v>
      </c>
      <c r="E38" t="n">
        <v>20.05747126</v>
      </c>
      <c r="F38">
        <f>B38*Sector_Weights!$B$4+C38*Sector_Weights!$B$5+D38*Sector_Weights!$B$6+E38*Sector_Weights!$B$7</f>
        <v/>
      </c>
      <c r="G38">
        <f>(F38/F37)-1</f>
        <v/>
      </c>
      <c r="H38">
        <f>(18115.0/15328.5)-1</f>
        <v/>
      </c>
      <c r="I38">
        <f>(258.8/255.7)-1</f>
        <v/>
      </c>
      <c r="J38">
        <f>G38-H38</f>
        <v/>
      </c>
      <c r="K38">
        <f>G38-I38</f>
        <v/>
      </c>
      <c r="L38">
        <f>I38/(ABS(G38)+I38)</f>
        <v/>
      </c>
    </row>
    <row r="39">
      <c r="A39" t="n">
        <v>2021</v>
      </c>
      <c r="B39" t="n">
        <v>0.15341816</v>
      </c>
      <c r="C39" t="n">
        <v>1.07890539</v>
      </c>
      <c r="D39" t="n">
        <v>1.72390737</v>
      </c>
      <c r="E39" t="n">
        <v>18.91625616</v>
      </c>
      <c r="F39">
        <f>B39*Sector_Weights!$B$4+C39*Sector_Weights!$B$5+D39*Sector_Weights!$B$6+E39*Sector_Weights!$B$7</f>
        <v/>
      </c>
      <c r="G39">
        <f>(F39/F38)-1</f>
        <v/>
      </c>
      <c r="H39">
        <f>(20349.3/18115.0)-1</f>
        <v/>
      </c>
      <c r="I39">
        <f>(271.0/258.8)-1</f>
        <v/>
      </c>
      <c r="J39">
        <f>G39-H39</f>
        <v/>
      </c>
      <c r="K39">
        <f>G39-I39</f>
        <v/>
      </c>
      <c r="L39">
        <f>I39/(ABS(G39)+I39)</f>
        <v/>
      </c>
    </row>
    <row r="40">
      <c r="A40" t="n">
        <v>2022</v>
      </c>
      <c r="B40" t="n">
        <v>0.13377267</v>
      </c>
      <c r="C40" t="n">
        <v>0.96328354</v>
      </c>
      <c r="D40" t="n">
        <v>1.80565126</v>
      </c>
      <c r="E40" t="n">
        <v>19.25287356</v>
      </c>
      <c r="F40">
        <f>B40*Sector_Weights!$B$4+C40*Sector_Weights!$B$5+D40*Sector_Weights!$B$6+E40*Sector_Weights!$B$7</f>
        <v/>
      </c>
      <c r="G40">
        <f>(F40/F39)-1</f>
        <v/>
      </c>
      <c r="H40">
        <f>(21294.5/20349.3)-1</f>
        <v/>
      </c>
      <c r="I40">
        <f>(292.7/271.0)-1</f>
        <v/>
      </c>
      <c r="J40">
        <f>G40-H40</f>
        <v/>
      </c>
      <c r="K40">
        <f>G40-I40</f>
        <v/>
      </c>
      <c r="L40">
        <f>I40/(ABS(G40)+I40)</f>
        <v/>
      </c>
    </row>
    <row r="41">
      <c r="A41" t="n">
        <v>2023</v>
      </c>
      <c r="B41" t="n">
        <v>0.12493251</v>
      </c>
      <c r="C41" t="n">
        <v>0.84766169</v>
      </c>
      <c r="D41" t="n">
        <v>1.67740607</v>
      </c>
      <c r="E41" t="n">
        <v>18.62889984</v>
      </c>
      <c r="F41">
        <f>B41*Sector_Weights!$B$4+C41*Sector_Weights!$B$5+D41*Sector_Weights!$B$6+E41*Sector_Weights!$B$7</f>
        <v/>
      </c>
      <c r="G41">
        <f>(F41/F40)-1</f>
        <v/>
      </c>
      <c r="H41">
        <f>(21061.4/21294.5)-1</f>
        <v/>
      </c>
      <c r="I41">
        <f>(304.7/292.7)-1</f>
        <v/>
      </c>
      <c r="J41">
        <f>G41-H41</f>
        <v/>
      </c>
      <c r="K41">
        <f>G41-I41</f>
        <v/>
      </c>
      <c r="L41">
        <f>I41/(ABS(G41)+I41)</f>
        <v/>
      </c>
    </row>
    <row r="42">
      <c r="A42" t="n">
        <v>2024</v>
      </c>
      <c r="B42" t="n">
        <v>0.12394271</v>
      </c>
      <c r="C42" t="n">
        <v>0.73203984</v>
      </c>
      <c r="D42" t="n">
        <v>1.58447158</v>
      </c>
      <c r="E42" t="n">
        <v>17.4137931</v>
      </c>
      <c r="F42">
        <f>B42*Sector_Weights!$B$4+C42*Sector_Weights!$B$5+D42*Sector_Weights!$B$6+E42*Sector_Weights!$B$7</f>
        <v/>
      </c>
      <c r="G42">
        <f>(F42/F41)-1</f>
        <v/>
      </c>
      <c r="H42">
        <f>(21326.0/21061.4)-1</f>
        <v/>
      </c>
      <c r="I42">
        <f>(316.2/304.7)-1</f>
        <v/>
      </c>
      <c r="J42">
        <f>G42-H42</f>
        <v/>
      </c>
      <c r="K42">
        <f>G42-I42</f>
        <v/>
      </c>
      <c r="L42">
        <f>I42/(ABS(G42)+I42)</f>
        <v/>
      </c>
    </row>
  </sheetData>
  <mergeCells count="2">
    <mergeCell ref="A2:L2"/>
    <mergeCell ref="A1:L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sheetData>
    <row r="1">
      <c r="A1" s="4" t="inlineStr">
        <is>
          <t>SECTOR WEIGHTS</t>
        </is>
      </c>
    </row>
    <row r="3">
      <c r="A3" s="5" t="inlineStr">
        <is>
          <t>Sector</t>
        </is>
      </c>
      <c r="B3" s="5" t="inlineStr">
        <is>
          <t>Weight</t>
        </is>
      </c>
    </row>
    <row r="4">
      <c r="A4" t="inlineStr">
        <is>
          <t>Computing</t>
        </is>
      </c>
      <c r="B4" t="n">
        <v>0.2941</v>
      </c>
    </row>
    <row r="5">
      <c r="A5" t="inlineStr">
        <is>
          <t>Communications</t>
        </is>
      </c>
      <c r="B5" t="n">
        <v>0.2353</v>
      </c>
    </row>
    <row r="6">
      <c r="A6" t="inlineStr">
        <is>
          <t>Energy</t>
        </is>
      </c>
      <c r="B6" t="n">
        <v>0.2941</v>
      </c>
    </row>
    <row r="7">
      <c r="A7" t="inlineStr">
        <is>
          <t>Transportation</t>
        </is>
      </c>
      <c r="B7" t="n">
        <v>0.1765</v>
      </c>
    </row>
    <row r="8">
      <c r="A8" t="inlineStr">
        <is>
          <t>TOTAL (must = 1.0000)</t>
        </is>
      </c>
      <c r="B8" s="5">
        <f>SUM(B4:B7)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73"/>
  <sheetViews>
    <sheetView workbookViewId="0">
      <selection activeCell="A1" sqref="A1"/>
    </sheetView>
  </sheetViews>
  <sheetFormatPr baseColWidth="8" defaultRowHeight="15"/>
  <sheetData>
    <row r="1">
      <c r="A1" s="4" t="inlineStr">
        <is>
          <t>MASTER DEFLATION INDEX METHODOLOGY</t>
        </is>
      </c>
    </row>
    <row r="3">
      <c r="A3" t="inlineStr">
        <is>
          <t>CALCULATION METHOD:</t>
        </is>
      </c>
    </row>
    <row r="5">
      <c r="A5" t="inlineStr">
        <is>
          <t>Master_DI[year] = (Computing_Index × 0.2941) + (Communications_Index × 0.2353) +</t>
        </is>
      </c>
    </row>
    <row r="6">
      <c r="A6" t="inlineStr">
        <is>
          <t xml:space="preserve">                  (Energy_Index × 0.2941) + (Transportation_Index × 0.1765)</t>
        </is>
      </c>
    </row>
    <row r="8">
      <c r="A8" t="inlineStr">
        <is>
          <t>Where:</t>
        </is>
      </c>
    </row>
    <row r="9">
      <c r="A9" t="inlineStr">
        <is>
          <t xml:space="preserve">  • Computing weight = 0.2941 (29.41%)</t>
        </is>
      </c>
    </row>
    <row r="10">
      <c r="A10" t="inlineStr">
        <is>
          <t xml:space="preserve">  • Communications weight = 0.2353 (23.53%)</t>
        </is>
      </c>
    </row>
    <row r="11">
      <c r="A11" t="inlineStr">
        <is>
          <t xml:space="preserve">  • Energy weight = 0.2941 (29.41%)</t>
        </is>
      </c>
    </row>
    <row r="12">
      <c r="A12" t="inlineStr">
        <is>
          <t xml:space="preserve">  • Transportation weight = 0.1765 (17.65%)</t>
        </is>
      </c>
    </row>
    <row r="13">
      <c r="A13" t="inlineStr">
        <is>
          <t xml:space="preserve">  • Total = 1.0000 (100.00%)</t>
        </is>
      </c>
    </row>
    <row r="15">
      <c r="A15" t="inlineStr">
        <is>
          <t>Weights are stored in Sector_Weights sheet and referenced by formulas.</t>
        </is>
      </c>
    </row>
    <row r="17">
      <c r="A17" t="inlineStr">
        <is>
          <t>SECTOR INDEX CONSTRUCTION:</t>
        </is>
      </c>
    </row>
    <row r="19">
      <c r="A19" t="inlineStr">
        <is>
          <t>Each sector combines 2-4 component metrics:</t>
        </is>
      </c>
    </row>
    <row r="20">
      <c r="A20" t="inlineStr">
        <is>
          <t xml:space="preserve">  • Computing: Computing Power (60%), Storage (30%), Memory (10%)</t>
        </is>
      </c>
    </row>
    <row r="21">
      <c r="A21" t="inlineStr">
        <is>
          <t xml:space="preserve">  • Communications: Data Transmission (70%), Voice (20%), Network Access (10%)</t>
        </is>
      </c>
    </row>
    <row r="22">
      <c r="A22" t="inlineStr">
        <is>
          <t xml:space="preserve">  • Energy: Solar LCOE (50%), Battery Storage (40%), LED Lighting (10%)</t>
        </is>
      </c>
    </row>
    <row r="23">
      <c r="A23" t="inlineStr">
        <is>
          <t xml:space="preserve">  • Transportation: EV Batteries (60%), Autonomous Tech (25%), Efficiency (10%), Ridesharing (5%)</t>
        </is>
      </c>
    </row>
    <row r="25">
      <c r="A25" t="inlineStr">
        <is>
          <t>Component indices are calculated as:</t>
        </is>
      </c>
    </row>
    <row r="26">
      <c r="A26" t="inlineStr">
        <is>
          <t xml:space="preserve">  Component_Index[year] = (Current_Cost / Base_Year_Cost) × 100</t>
        </is>
      </c>
    </row>
    <row r="28">
      <c r="A28" t="inlineStr">
        <is>
          <t>Where:</t>
        </is>
      </c>
    </row>
    <row r="29">
      <c r="A29" t="inlineStr">
        <is>
          <t xml:space="preserve">  • Base year = 100 (1990 for Computing/Communications/Energy, 2010 for Transportation)</t>
        </is>
      </c>
    </row>
    <row r="30">
      <c r="A30" t="inlineStr">
        <is>
          <t xml:space="preserve">  • Lower costs = lower index values (shows deflation)</t>
        </is>
      </c>
    </row>
    <row r="31">
      <c r="A31" t="inlineStr">
        <is>
          <t xml:space="preserve">  • All costs adjusted to 2024 constant dollars using CPI-U</t>
        </is>
      </c>
    </row>
    <row r="33">
      <c r="A33" t="inlineStr">
        <is>
          <t>WEIGHTING RATIONALE:</t>
        </is>
      </c>
    </row>
    <row r="35">
      <c r="A35" t="inlineStr">
        <is>
          <t>Sector weights reflect three factors:</t>
        </is>
      </c>
    </row>
    <row r="36">
      <c r="A36" t="inlineStr">
        <is>
          <t xml:space="preserve">  1. GDP contribution (direct economic value)</t>
        </is>
      </c>
    </row>
    <row r="37">
      <c r="A37" t="inlineStr">
        <is>
          <t xml:space="preserve">  2. Enabling effect (how much other sectors depend on it)</t>
        </is>
      </c>
    </row>
    <row r="38">
      <c r="A38" t="inlineStr">
        <is>
          <t xml:space="preserve">  3. Deflationary force (magnitude and consistency of cost reductions)</t>
        </is>
      </c>
    </row>
    <row r="40">
      <c r="A40" t="inlineStr">
        <is>
          <t>Computing and Energy receive highest weights (29.41% each) due to:</t>
        </is>
      </c>
    </row>
    <row r="41">
      <c r="A41" t="inlineStr">
        <is>
          <t xml:space="preserve">  • Extreme deflation rates (99.88% and 98.42% cumulative)</t>
        </is>
      </c>
    </row>
    <row r="42">
      <c r="A42" t="inlineStr">
        <is>
          <t xml:space="preserve">  • Universal enabling effects (all sectors depend on these)</t>
        </is>
      </c>
    </row>
    <row r="43">
      <c r="A43" t="inlineStr">
        <is>
          <t xml:space="preserve">  • Large economic footprint</t>
        </is>
      </c>
    </row>
    <row r="45">
      <c r="A45" t="inlineStr">
        <is>
          <t>Communications receives 23.53% due to:</t>
        </is>
      </c>
    </row>
    <row r="46">
      <c r="A46" t="inlineStr">
        <is>
          <t xml:space="preserve">  • Very high deflation (99.27% cumulative)</t>
        </is>
      </c>
    </row>
    <row r="47">
      <c r="A47" t="inlineStr">
        <is>
          <t xml:space="preserve">  • High enabling effect (information flow)</t>
        </is>
      </c>
    </row>
    <row r="48">
      <c r="A48" t="inlineStr">
        <is>
          <t xml:space="preserve">  • Moderate economic footprint</t>
        </is>
      </c>
    </row>
    <row r="50">
      <c r="A50" t="inlineStr">
        <is>
          <t>Transportation receives 17.65% due to:</t>
        </is>
      </c>
    </row>
    <row r="51">
      <c r="A51" t="inlineStr">
        <is>
          <t xml:space="preserve">  • High deflation (82.59% cumulative, 2010-2024)</t>
        </is>
      </c>
    </row>
    <row r="52">
      <c r="A52" t="inlineStr">
        <is>
          <t xml:space="preserve">  • Shorter time series (only 15 years vs 35)</t>
        </is>
      </c>
    </row>
    <row r="53">
      <c r="A53" t="inlineStr">
        <is>
          <t xml:space="preserve">  • More specialized impact</t>
        </is>
      </c>
    </row>
    <row r="55">
      <c r="A55" t="inlineStr">
        <is>
          <t>DATA SOURCES:</t>
        </is>
      </c>
    </row>
    <row r="57">
      <c r="A57" t="inlineStr">
        <is>
          <t xml:space="preserve">  • Computing: AI Impacts (computing power), Backblaze (storage), industry reports (memory)</t>
        </is>
      </c>
    </row>
    <row r="58">
      <c r="A58" t="inlineStr">
        <is>
          <t xml:space="preserve">  • Communications: FCC (broadband), BLS (telecom CPI), OECD (international data)</t>
        </is>
      </c>
    </row>
    <row r="59">
      <c r="A59" t="inlineStr">
        <is>
          <t xml:space="preserve">  • Energy: IRENA (solar LCOE), BloombergNEF (batteries), DOE (LED lighting)</t>
        </is>
      </c>
    </row>
    <row r="60">
      <c r="A60" t="inlineStr">
        <is>
          <t xml:space="preserve">  • Transportation: BloombergNEF (EV batteries), DOE TEDB (efficiency), SEC filings (ridesharing)</t>
        </is>
      </c>
    </row>
    <row r="61">
      <c r="A61" t="inlineStr">
        <is>
          <t xml:space="preserve">  • M2 Money Supply: Federal Reserve H.6 report</t>
        </is>
      </c>
    </row>
    <row r="62">
      <c r="A62" t="inlineStr">
        <is>
          <t xml:space="preserve">  • CPI: Bureau of Labor Statistics CPI-U</t>
        </is>
      </c>
    </row>
    <row r="64">
      <c r="A64" t="inlineStr">
        <is>
          <t>QUALITY ASSURANCE:</t>
        </is>
      </c>
    </row>
    <row r="66">
      <c r="A66" t="inlineStr">
        <is>
          <t xml:space="preserve">  • All calculations use formulas (no hard-coded values except base year)</t>
        </is>
      </c>
    </row>
    <row r="67">
      <c r="A67" t="inlineStr">
        <is>
          <t xml:space="preserve">  • Weights referenced from single source (Sector_Weights sheet)</t>
        </is>
      </c>
    </row>
    <row r="68">
      <c r="A68" t="inlineStr">
        <is>
          <t xml:space="preserve">  • All data traceable to authoritative sources</t>
        </is>
      </c>
    </row>
    <row r="69">
      <c r="A69" t="inlineStr">
        <is>
          <t xml:space="preserve">  • Zero formula errors (verified programmatically)</t>
        </is>
      </c>
    </row>
    <row r="70">
      <c r="A70" t="inlineStr">
        <is>
          <t xml:space="preserve">  • Reproducible by external researchers</t>
        </is>
      </c>
    </row>
    <row r="72">
      <c r="A72" t="inlineStr">
        <is>
          <t>For complete documentation, see GitHub repository:</t>
        </is>
      </c>
    </row>
    <row r="73">
      <c r="A73" t="inlineStr">
        <is>
          <t>github.com/deflation-index/deflation-index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sheetData>
    <row r="1">
      <c r="A1" s="4" t="inlineStr">
        <is>
          <t>MASTER INDEX VERSION HISTORY</t>
        </is>
      </c>
    </row>
    <row r="3">
      <c r="A3" t="inlineStr">
        <is>
          <t>Date</t>
        </is>
      </c>
      <c r="B3" t="inlineStr">
        <is>
          <t>Version</t>
        </is>
      </c>
      <c r="C3" t="inlineStr">
        <is>
          <t>Changes</t>
        </is>
      </c>
      <c r="D3" t="inlineStr">
        <is>
          <t>Impact</t>
        </is>
      </c>
    </row>
    <row r="4">
      <c r="A4" t="inlineStr">
        <is>
          <t>2026-01-17</t>
        </is>
      </c>
      <c r="B4" t="inlineStr">
        <is>
          <t>v3.0.3</t>
        </is>
      </c>
      <c r="C4" t="inlineStr">
        <is>
          <t>Launch preparation: Verified all formulas and weight references</t>
        </is>
      </c>
      <c r="D4" t="inlineStr">
        <is>
          <t>Documentation update, no calculation changes</t>
        </is>
      </c>
    </row>
    <row r="5">
      <c r="A5" t="inlineStr">
        <is>
          <t>2025-12-19</t>
        </is>
      </c>
      <c r="B5" t="inlineStr">
        <is>
          <t>v3.0.1</t>
        </is>
      </c>
      <c r="C5" t="inlineStr">
        <is>
          <t>REBUILT with formulas - Complete rebuild from source data</t>
        </is>
      </c>
      <c r="D5" t="inlineStr">
        <is>
          <t>All values recalculated, formulas added, ~12pp more deflation</t>
        </is>
      </c>
    </row>
    <row r="6">
      <c r="A6" t="inlineStr">
        <is>
          <t>2025-12-15</t>
        </is>
      </c>
      <c r="B6" t="inlineStr">
        <is>
          <t>v3.0</t>
        </is>
      </c>
      <c r="C6" t="inlineStr">
        <is>
          <t>Added Transportation sector</t>
        </is>
      </c>
      <c r="D6" t="inlineStr">
        <is>
          <t>Expanded from 3 to 4 sectors, updated weights</t>
        </is>
      </c>
    </row>
    <row r="7">
      <c r="A7" t="inlineStr">
        <is>
          <t>2024-01-15</t>
        </is>
      </c>
      <c r="B7" t="inlineStr">
        <is>
          <t>v2.0</t>
        </is>
      </c>
      <c r="C7" t="inlineStr">
        <is>
          <t>Updated all data through 2024</t>
        </is>
      </c>
      <c r="D7" t="inlineStr">
        <is>
          <t>Annual update</t>
        </is>
      </c>
    </row>
    <row r="8">
      <c r="A8" t="inlineStr">
        <is>
          <t>2024-01-01</t>
        </is>
      </c>
      <c r="B8" t="inlineStr">
        <is>
          <t>v1.0</t>
        </is>
      </c>
      <c r="C8" t="inlineStr">
        <is>
          <t>Initial release</t>
        </is>
      </c>
      <c r="D8" t="inlineStr">
        <is>
          <t>Baseline: Computing, Communications, Energy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2025-12-19T01:56:37Z</dcterms:created>
  <dcterms:modified xmlns:dcterms="http://purl.org/dc/terms/" xmlns:xsi="http://www.w3.org/2001/XMLSchema-instance" xsi:type="dcterms:W3CDTF">2026-01-17T15:52:08Z</dcterms:modified>
</cp:coreProperties>
</file>